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ownloads\"/>
    </mc:Choice>
  </mc:AlternateContent>
  <xr:revisionPtr revIDLastSave="0" documentId="13_ncr:1_{C7FB7F23-4AA9-489E-A185-B9146887636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alcolo" sheetId="1" r:id="rId1"/>
    <sheet name="Tabelle" sheetId="2" r:id="rId2"/>
  </sheets>
  <definedNames>
    <definedName name="Negativo">Tabelle!$A$22:$E$32</definedName>
    <definedName name="PositivoDopo">Tabelle!$A$58:$E$68</definedName>
    <definedName name="PositivoPrimo">Tabelle!$A$40:$E$50</definedName>
    <definedName name="PrimoIncontro">Tabelle!$A$13:$E$15</definedName>
    <definedName name="SpeseAvvio">Tabelle!$A$4:$E$6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1" l="1"/>
  <c r="B45" i="1" s="1"/>
  <c r="D58" i="2"/>
  <c r="E58" i="2" s="1"/>
  <c r="D59" i="2"/>
  <c r="D60" i="2"/>
  <c r="D61" i="2"/>
  <c r="E61" i="2" s="1"/>
  <c r="D62" i="2"/>
  <c r="D63" i="2"/>
  <c r="E63" i="2" s="1"/>
  <c r="D64" i="2"/>
  <c r="D65" i="2"/>
  <c r="D66" i="2"/>
  <c r="E66" i="2" s="1"/>
  <c r="D67" i="2"/>
  <c r="D68" i="2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59" i="2"/>
  <c r="E60" i="2"/>
  <c r="E62" i="2"/>
  <c r="E64" i="2"/>
  <c r="E65" i="2"/>
  <c r="E67" i="2"/>
  <c r="E68" i="2"/>
  <c r="E40" i="2"/>
  <c r="D25" i="2"/>
  <c r="D23" i="2"/>
  <c r="D24" i="2"/>
  <c r="E24" i="2"/>
  <c r="D32" i="2"/>
  <c r="E32" i="2" s="1"/>
  <c r="D31" i="2"/>
  <c r="D30" i="2"/>
  <c r="E30" i="2" s="1"/>
  <c r="D29" i="2"/>
  <c r="E29" i="2" s="1"/>
  <c r="D28" i="2"/>
  <c r="D27" i="2"/>
  <c r="D26" i="2"/>
  <c r="E26" i="2" s="1"/>
  <c r="E25" i="2"/>
  <c r="D22" i="2"/>
  <c r="E22" i="2" s="1"/>
  <c r="E28" i="2"/>
  <c r="E15" i="2"/>
  <c r="E14" i="2"/>
  <c r="E13" i="2"/>
  <c r="E6" i="2"/>
  <c r="E5" i="2"/>
  <c r="E4" i="2"/>
  <c r="B8" i="1"/>
  <c r="B19" i="1" s="1"/>
  <c r="B7" i="1"/>
  <c r="B20" i="1" s="1"/>
  <c r="B28" i="1" l="1"/>
  <c r="B29" i="1"/>
  <c r="B43" i="1"/>
  <c r="B27" i="1"/>
  <c r="B22" i="1"/>
  <c r="B23" i="1" s="1"/>
  <c r="B24" i="1" s="1"/>
  <c r="B37" i="1" s="1"/>
  <c r="E23" i="2"/>
  <c r="E27" i="2"/>
  <c r="E31" i="2"/>
  <c r="B30" i="1" l="1"/>
  <c r="B31" i="1" s="1"/>
  <c r="B44" i="1" s="1"/>
  <c r="B46" i="1" s="1"/>
  <c r="B32" i="1" l="1"/>
  <c r="B33" i="1" s="1"/>
  <c r="B38" i="1" s="1"/>
  <c r="B39" i="1" s="1"/>
  <c r="B47" i="1"/>
  <c r="B48" i="1" s="1"/>
</calcChain>
</file>

<file path=xl/sharedStrings.xml><?xml version="1.0" encoding="utf-8"?>
<sst xmlns="http://schemas.openxmlformats.org/spreadsheetml/2006/main" count="92" uniqueCount="63">
  <si>
    <t>CALCOLO DELLE SPESE DI MEDIAZIONE DOVUTE DA CIASCUNA PARTE</t>
  </si>
  <si>
    <t>Campi verdi editabili</t>
  </si>
  <si>
    <t>Tipo di mediazione</t>
  </si>
  <si>
    <t>Valore della controversia</t>
  </si>
  <si>
    <t>Valore determinato solo per il primo incontro</t>
  </si>
  <si>
    <t>Valore determinato</t>
  </si>
  <si>
    <t>SPEDIZIONI</t>
  </si>
  <si>
    <t>Numero di raccomandate da spedire in Italia (€ 15,00 cadauna)</t>
  </si>
  <si>
    <t>Numero di raccomandate da spedire all'estero (€ 25.00 cadauna)</t>
  </si>
  <si>
    <t>ESITO DELLA PROCEDURA</t>
  </si>
  <si>
    <t>Esito della mediazione</t>
  </si>
  <si>
    <t>COSTI DELLA MEDIAZIONE</t>
  </si>
  <si>
    <t>Da pagare all'atto del deposito dell'istanza di mediazione o dell'atto di adesione</t>
  </si>
  <si>
    <t>Spese di avvio dl procedimento</t>
  </si>
  <si>
    <t>Spese di mediazione per il primo incontro</t>
  </si>
  <si>
    <t>Spese postali</t>
  </si>
  <si>
    <t>TOTALE IMPONIBILE AL DEPOSITO</t>
  </si>
  <si>
    <t>IVA AL DEPOSITO</t>
  </si>
  <si>
    <t>TOTALE CON IVA AL DEPOSITO</t>
  </si>
  <si>
    <t>Da pagare alla chiusura del procedimento e comunque prima del rilascio del verbale</t>
  </si>
  <si>
    <t>Esito negativo in incontro successivo al primo</t>
  </si>
  <si>
    <t>Esito positivo al primo incontro</t>
  </si>
  <si>
    <t>Esito positivo in incontro successivo al primo</t>
  </si>
  <si>
    <t>Spese di mediazione</t>
  </si>
  <si>
    <t>TOTALE IMPONIBILE SPESE ALLA CHIUSURA</t>
  </si>
  <si>
    <t>IVA ALLA CHIUSURA</t>
  </si>
  <si>
    <t>TOTALE CON IVA ALLA CHIUSURA</t>
  </si>
  <si>
    <t>Spese al deposito</t>
  </si>
  <si>
    <t>Spese alla chiusura</t>
  </si>
  <si>
    <t>TOTALE</t>
  </si>
  <si>
    <t>SPESE DI AVVIO DEL PROCEDIMENTO</t>
  </si>
  <si>
    <t>Valore della controveria</t>
  </si>
  <si>
    <t>Spese di avvio del procedimento</t>
  </si>
  <si>
    <t>DA</t>
  </si>
  <si>
    <t>A</t>
  </si>
  <si>
    <t>Mediazione volontaria o contrattuale</t>
  </si>
  <si>
    <t>Mediazione obbligatoria o delegata dal giudice</t>
  </si>
  <si>
    <t>o indeterminato</t>
  </si>
  <si>
    <r>
      <rPr>
        <b/>
        <sz val="12"/>
        <color rgb="FF000000"/>
        <rFont val="Arial"/>
        <family val="2"/>
        <charset val="1"/>
      </rPr>
      <t xml:space="preserve">SPESE DI MEDIAZIONE PER IL </t>
    </r>
    <r>
      <rPr>
        <b/>
        <sz val="12"/>
        <color rgb="FFFF0000"/>
        <rFont val="Arial"/>
        <family val="2"/>
        <charset val="1"/>
      </rPr>
      <t>PRIMO INCONTRO</t>
    </r>
  </si>
  <si>
    <t>o indeterminato basso</t>
  </si>
  <si>
    <t>o indeterminato medio</t>
  </si>
  <si>
    <t>o indeterminato alto</t>
  </si>
  <si>
    <r>
      <rPr>
        <b/>
        <sz val="12"/>
        <color rgb="FF000000"/>
        <rFont val="Arial"/>
        <family val="2"/>
        <charset val="1"/>
      </rPr>
      <t xml:space="preserve">SPESE DI MEDIAZIONE IN CASO DI ESITO </t>
    </r>
    <r>
      <rPr>
        <b/>
        <sz val="12"/>
        <color rgb="FFFF0000"/>
        <rFont val="Arial"/>
        <family val="2"/>
        <charset val="1"/>
      </rPr>
      <t>NEGATIVO DAL SECONDO INCONTRO</t>
    </r>
  </si>
  <si>
    <t>2% - € 170,00</t>
  </si>
  <si>
    <t>2% - (un quinto del 2%) - € 136,00</t>
  </si>
  <si>
    <r>
      <rPr>
        <b/>
        <sz val="12"/>
        <color rgb="FF000000"/>
        <rFont val="Arial"/>
        <family val="2"/>
        <charset val="1"/>
      </rPr>
      <t xml:space="preserve">SPESE DI MEDIAZIONE IN CASO DI ESITO </t>
    </r>
    <r>
      <rPr>
        <b/>
        <sz val="12"/>
        <color rgb="FFFF0000"/>
        <rFont val="Arial"/>
        <family val="2"/>
        <charset val="1"/>
      </rPr>
      <t>POSITIVO AL PRIMO INCONTRO</t>
    </r>
  </si>
  <si>
    <r>
      <rPr>
        <b/>
        <sz val="12"/>
        <color rgb="FF000000"/>
        <rFont val="Arial"/>
        <family val="2"/>
        <charset val="1"/>
      </rPr>
      <t xml:space="preserve">SPESE DI MEDIAZIONE IN CASO DI ESITO </t>
    </r>
    <r>
      <rPr>
        <b/>
        <sz val="12"/>
        <color rgb="FFFF0000"/>
        <rFont val="Arial"/>
        <family val="2"/>
        <charset val="1"/>
      </rPr>
      <t>POSITIVO DOPO IL PRIMO INCONTRO*</t>
    </r>
  </si>
  <si>
    <t>* Importi maggiorabili del 20% per competenza del mediatore designato dalle parti o per complessità delle questioni.</t>
  </si>
  <si>
    <t>IVA</t>
  </si>
  <si>
    <t>RIEPILOGO TEMPORALE SPESE</t>
  </si>
  <si>
    <t>Spese di mediazione (primo incontro + successive)</t>
  </si>
  <si>
    <t>RIEPILOGO GENERALE</t>
  </si>
  <si>
    <t>TOTALE IMPONIBILE</t>
  </si>
  <si>
    <t>TOTALE CON IVA</t>
  </si>
  <si>
    <t>Fino a 1.000</t>
  </si>
  <si>
    <t>Sistema di calcolo in vigore dal 15 novembre 2023 in esecuzione del  D.M. 24/10/2023, n. 150</t>
  </si>
  <si>
    <t>Mediazione obbligatoria</t>
  </si>
  <si>
    <t>0,3% - € 170,00</t>
  </si>
  <si>
    <t>0,2% - € 170,00</t>
  </si>
  <si>
    <t>0,2% - (un quinto dello 0,2%) - € 136,00</t>
  </si>
  <si>
    <t>0,3% - (un quinto dello 0,3%) - € 136,00</t>
  </si>
  <si>
    <t>Negativo in incontro successivo al primo</t>
  </si>
  <si>
    <t>Rev.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</si>
</sst>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09]\ #,##0.00"/>
  </numFmts>
  <fonts count="32" x14ac:knownFonts="1">
    <font>
      <sz val="11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1"/>
      <color rgb="FF0000FF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2"/>
      <color rgb="FFFF0000"/>
      <name val="Arial"/>
      <family val="2"/>
      <charset val="1"/>
    </font>
    <font>
      <i/>
      <sz val="9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color theme="4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Arial"/>
      <family val="2"/>
    </font>
    <font>
      <b/>
      <sz val="8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FFF"/>
      </patternFill>
    </fill>
    <fill>
      <patternFill patternType="solid">
        <fgColor rgb="FF4472C4"/>
        <bgColor rgb="FF666699"/>
      </patternFill>
    </fill>
    <fill>
      <patternFill patternType="solid">
        <fgColor rgb="FFE2F0D9"/>
        <bgColor rgb="FFDDDDDD"/>
      </patternFill>
    </fill>
    <fill>
      <patternFill patternType="solid">
        <fgColor rgb="FFC9DAF8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9FC5E8"/>
      </patternFill>
    </fill>
    <fill>
      <patternFill patternType="solid">
        <fgColor rgb="FFD9D9D9"/>
        <bgColor rgb="FFDDDDDD"/>
      </patternFill>
    </fill>
    <fill>
      <patternFill patternType="solid">
        <fgColor rgb="FF9FC5E8"/>
        <bgColor rgb="FFA4C2F4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8" borderId="0" applyBorder="0" applyProtection="0"/>
    <xf numFmtId="0" fontId="13" fillId="8" borderId="1" applyProtection="0"/>
    <xf numFmtId="0" fontId="23" fillId="0" borderId="0" applyBorder="0" applyProtection="0"/>
    <xf numFmtId="0" fontId="23" fillId="0" borderId="0" applyBorder="0" applyProtection="0"/>
    <xf numFmtId="0" fontId="4" fillId="0" borderId="0" applyBorder="0" applyProtection="0"/>
    <xf numFmtId="0" fontId="19" fillId="9" borderId="0" applyBorder="0" applyProtection="0"/>
    <xf numFmtId="0" fontId="1" fillId="16" borderId="0" applyNumberFormat="0" applyBorder="0" applyAlignment="0" applyProtection="0"/>
  </cellStyleXfs>
  <cellXfs count="49">
    <xf numFmtId="0" fontId="0" fillId="0" borderId="0" xfId="0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0" fillId="10" borderId="0" xfId="0" applyFill="1" applyAlignment="1">
      <alignment vertical="center"/>
    </xf>
    <xf numFmtId="164" fontId="0" fillId="10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3" fontId="0" fillId="10" borderId="0" xfId="0" applyNumberFormat="1" applyFill="1" applyAlignment="1">
      <alignment horizontal="right" vertical="center"/>
    </xf>
    <xf numFmtId="0" fontId="0" fillId="10" borderId="0" xfId="0" applyFill="1" applyAlignment="1">
      <alignment horizontal="left" vertical="center"/>
    </xf>
    <xf numFmtId="164" fontId="0" fillId="0" borderId="0" xfId="0" applyNumberFormat="1"/>
    <xf numFmtId="0" fontId="14" fillId="14" borderId="0" xfId="0" applyFont="1" applyFill="1" applyAlignment="1">
      <alignment horizontal="left"/>
    </xf>
    <xf numFmtId="164" fontId="14" fillId="14" borderId="0" xfId="0" applyNumberFormat="1" applyFont="1" applyFill="1"/>
    <xf numFmtId="0" fontId="15" fillId="14" borderId="0" xfId="0" applyFont="1" applyFill="1"/>
    <xf numFmtId="164" fontId="15" fillId="14" borderId="0" xfId="0" applyNumberFormat="1" applyFont="1" applyFill="1"/>
    <xf numFmtId="0" fontId="17" fillId="14" borderId="0" xfId="0" applyFont="1" applyFill="1"/>
    <xf numFmtId="164" fontId="17" fillId="14" borderId="0" xfId="0" applyNumberFormat="1" applyFont="1" applyFill="1"/>
    <xf numFmtId="164" fontId="14" fillId="0" borderId="0" xfId="0" applyNumberFormat="1" applyFont="1"/>
    <xf numFmtId="0" fontId="14" fillId="11" borderId="0" xfId="0" applyFont="1" applyFill="1"/>
    <xf numFmtId="164" fontId="14" fillId="11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164" fontId="19" fillId="9" borderId="0" xfId="18" applyNumberFormat="1" applyBorder="1" applyAlignment="1" applyProtection="1">
      <alignment horizontal="center" vertical="center" wrapText="1"/>
    </xf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64" fontId="19" fillId="9" borderId="0" xfId="18" applyNumberFormat="1" applyBorder="1" applyAlignment="1" applyProtection="1">
      <alignment horizontal="center" vertical="center"/>
    </xf>
    <xf numFmtId="9" fontId="14" fillId="0" borderId="0" xfId="0" applyNumberFormat="1" applyFont="1"/>
    <xf numFmtId="0" fontId="21" fillId="0" borderId="0" xfId="0" applyFont="1" applyAlignment="1">
      <alignment horizontal="right" wrapText="1"/>
    </xf>
    <xf numFmtId="164" fontId="19" fillId="9" borderId="0" xfId="18" applyNumberFormat="1" applyBorder="1" applyAlignment="1" applyProtection="1">
      <alignment horizontal="right" vertical="center"/>
    </xf>
    <xf numFmtId="0" fontId="25" fillId="0" borderId="0" xfId="19" applyFont="1" applyFill="1"/>
    <xf numFmtId="164" fontId="26" fillId="0" borderId="0" xfId="19" applyNumberFormat="1" applyFont="1" applyFill="1"/>
    <xf numFmtId="164" fontId="27" fillId="0" borderId="0" xfId="19" applyNumberFormat="1" applyFont="1" applyFill="1"/>
    <xf numFmtId="0" fontId="28" fillId="0" borderId="0" xfId="19" applyFont="1" applyFill="1"/>
    <xf numFmtId="164" fontId="28" fillId="0" borderId="0" xfId="19" applyNumberFormat="1" applyFont="1" applyFill="1"/>
    <xf numFmtId="0" fontId="27" fillId="0" borderId="0" xfId="19" applyFont="1" applyFill="1"/>
    <xf numFmtId="164" fontId="29" fillId="0" borderId="0" xfId="19" applyNumberFormat="1" applyFont="1" applyFill="1"/>
    <xf numFmtId="164" fontId="30" fillId="0" borderId="0" xfId="0" applyNumberFormat="1" applyFont="1"/>
    <xf numFmtId="0" fontId="21" fillId="0" borderId="0" xfId="0" quotePrefix="1" applyFont="1" applyAlignment="1">
      <alignment horizontal="right" wrapText="1"/>
    </xf>
    <xf numFmtId="0" fontId="31" fillId="0" borderId="0" xfId="0" applyFont="1" applyAlignment="1">
      <alignment horizontal="left" vertical="center" wrapText="1"/>
    </xf>
    <xf numFmtId="0" fontId="17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13" borderId="0" xfId="0" applyFont="1" applyFill="1" applyAlignment="1">
      <alignment vertical="center"/>
    </xf>
    <xf numFmtId="0" fontId="16" fillId="15" borderId="0" xfId="0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11" borderId="0" xfId="0" applyFont="1" applyFill="1" applyAlignment="1">
      <alignment vertical="center"/>
    </xf>
    <xf numFmtId="0" fontId="18" fillId="12" borderId="0" xfId="0" applyFont="1" applyFill="1" applyAlignment="1">
      <alignment horizontal="center"/>
    </xf>
    <xf numFmtId="164" fontId="1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2" fillId="0" borderId="0" xfId="0" applyFont="1"/>
  </cellXfs>
  <cellStyles count="20">
    <cellStyle name="20% - Colore 2" xfId="19" builtinId="34"/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Excel Built-in Accent1" xfId="18" xr:uid="{00000000-0005-0000-0000-000017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rmale" xfId="0" builtinId="0"/>
    <cellStyle name="Note 17" xfId="14" xr:uid="{00000000-0005-0000-0000-000013000000}"/>
    <cellStyle name="Status 18" xfId="15" xr:uid="{00000000-0005-0000-0000-000014000000}"/>
    <cellStyle name="Text 19" xfId="16" xr:uid="{00000000-0005-0000-0000-000015000000}"/>
    <cellStyle name="Warning 20" xfId="17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4C2F4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DDDDDD"/>
      <rgbColor rgb="FFCCFFCC"/>
      <rgbColor rgb="FFD9D9D9"/>
      <rgbColor rgb="FF9FC5E8"/>
      <rgbColor rgb="FFFF99CC"/>
      <rgbColor rgb="FFCC99FF"/>
      <rgbColor rgb="FFFFCCC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1095480</xdr:colOff>
      <xdr:row>3</xdr:row>
      <xdr:rowOff>85680</xdr:rowOff>
    </xdr:from>
    <xdr:to>
      <xdr:col>1</xdr:col>
      <xdr:colOff>1578960</xdr:colOff>
      <xdr:row>3</xdr:row>
      <xdr:rowOff>589320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9960" y="1447920"/>
          <a:ext cx="483480" cy="503640"/>
        </a:xfrm>
        <a:prstGeom prst="downArrow">
          <a:avLst>
            <a:gd name="adj1" fmla="val 50000"/>
            <a:gd name="adj2" fmla="val 50000"/>
          </a:avLst>
        </a:prstGeom>
        <a:solidFill>
          <a:srgbClr val="4472C4"/>
        </a:solidFill>
        <a:ln w="0">
          <a:solidFill>
            <a:srgbClr val="1D315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E6" headerRowCount="0" totalsRowShown="0">
  <tableColumns count="5">
    <tableColumn id="1" xr3:uid="{00000000-0010-0000-0000-000001000000}" name="Colonna1"/>
    <tableColumn id="2" xr3:uid="{00000000-0010-0000-0000-000002000000}" name="Colonna2"/>
    <tableColumn id="3" xr3:uid="{00000000-0010-0000-0000-000003000000}" name="Colonna3"/>
    <tableColumn id="4" xr3:uid="{00000000-0010-0000-0000-000004000000}" name="Colonna4"/>
    <tableColumn id="5" xr3:uid="{00000000-0010-0000-0000-000005000000}" name="Colonna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2:E15" headerRowCount="0" totalsRowShown="0">
  <tableColumns count="5">
    <tableColumn id="1" xr3:uid="{00000000-0010-0000-0100-000001000000}" name="Colonna1"/>
    <tableColumn id="2" xr3:uid="{00000000-0010-0000-0100-000002000000}" name="Colonna2"/>
    <tableColumn id="3" xr3:uid="{00000000-0010-0000-0100-000003000000}" name="Colonna3"/>
    <tableColumn id="4" xr3:uid="{00000000-0010-0000-0100-000004000000}" name="Colonna4"/>
    <tableColumn id="5" xr3:uid="{00000000-0010-0000-0100-000005000000}" name="Colonna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1:E33" headerRowCount="0" totalsRowShown="0">
  <tableColumns count="5">
    <tableColumn id="1" xr3:uid="{00000000-0010-0000-0200-000001000000}" name="Colonna1"/>
    <tableColumn id="2" xr3:uid="{00000000-0010-0000-0200-000002000000}" name="Colonna2"/>
    <tableColumn id="3" xr3:uid="{00000000-0010-0000-0200-000003000000}" name="Colonna3"/>
    <tableColumn id="4" xr3:uid="{00000000-0010-0000-0200-000004000000}" name="Colonna4"/>
    <tableColumn id="5" xr3:uid="{00000000-0010-0000-0200-000005000000}" name="Colonna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39:C51" headerRowCount="0" totalsRowShown="0">
  <tableColumns count="3">
    <tableColumn id="1" xr3:uid="{00000000-0010-0000-0300-000001000000}" name="Colonna1"/>
    <tableColumn id="2" xr3:uid="{00000000-0010-0000-0300-000002000000}" name="Colonna2"/>
    <tableColumn id="3" xr3:uid="{00000000-0010-0000-0300-000003000000}" name="Colonna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D39:E51" totalsRowShown="0">
  <tableColumns count="2">
    <tableColumn id="1" xr3:uid="{00000000-0010-0000-0400-000001000000}" name="Mediazione volontaria o contrattuale"/>
    <tableColumn id="2" xr3:uid="{00000000-0010-0000-0400-000002000000}" name="Mediazione obbligatoria o delegata dal giudic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57:C69" headerRowCount="0" totalsRowShown="0">
  <tableColumns count="3">
    <tableColumn id="1" xr3:uid="{00000000-0010-0000-0500-000001000000}" name="Colonna1"/>
    <tableColumn id="2" xr3:uid="{00000000-0010-0000-0500-000002000000}" name="Colonna2"/>
    <tableColumn id="3" xr3:uid="{00000000-0010-0000-0500-000003000000}" name="Colonna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D57:E69" totalsRowShown="0">
  <tableColumns count="2">
    <tableColumn id="1" xr3:uid="{00000000-0010-0000-0600-000001000000}" name="Mediazione volontaria o contrattuale"/>
    <tableColumn id="2" xr3:uid="{00000000-0010-0000-0600-000002000000}" name="Mediazione obbligatoria o delegata dal giudic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zoomScaleNormal="100" workbookViewId="0">
      <selection sqref="A1:B1"/>
    </sheetView>
  </sheetViews>
  <sheetFormatPr defaultColWidth="8.5" defaultRowHeight="13.8" x14ac:dyDescent="0.25"/>
  <cols>
    <col min="1" max="1" width="67.69921875" customWidth="1"/>
    <col min="2" max="2" width="34.19921875" customWidth="1"/>
    <col min="3" max="3" width="11.69921875" customWidth="1"/>
    <col min="4" max="5" width="15.09765625" customWidth="1"/>
    <col min="6" max="1024" width="11.69921875" customWidth="1"/>
    <col min="1025" max="1025" width="9" customWidth="1"/>
  </cols>
  <sheetData>
    <row r="1" spans="1:26" ht="33.75" customHeight="1" x14ac:dyDescent="0.25">
      <c r="A1" s="39" t="s">
        <v>0</v>
      </c>
      <c r="B1" s="39"/>
    </row>
    <row r="2" spans="1:26" ht="48.75" customHeight="1" x14ac:dyDescent="0.25">
      <c r="A2" s="43" t="s">
        <v>55</v>
      </c>
      <c r="B2" s="4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25">
      <c r="A3" s="38" t="s">
        <v>62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.7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2" customFormat="1" ht="24.75" customHeight="1" x14ac:dyDescent="0.25">
      <c r="A5" s="2" t="s">
        <v>2</v>
      </c>
      <c r="B5" s="4" t="s">
        <v>56</v>
      </c>
    </row>
    <row r="6" spans="1:26" s="2" customFormat="1" ht="24.75" customHeight="1" x14ac:dyDescent="0.25">
      <c r="A6" s="2" t="s">
        <v>3</v>
      </c>
      <c r="B6" s="5" t="s">
        <v>54</v>
      </c>
      <c r="D6" s="40"/>
      <c r="E6" s="40"/>
    </row>
    <row r="7" spans="1:26" s="2" customFormat="1" ht="24.75" hidden="1" customHeight="1" x14ac:dyDescent="0.25">
      <c r="A7" s="2" t="s">
        <v>4</v>
      </c>
      <c r="B7" s="6">
        <f>_xlfn.SWITCH($B$6, "Indeterminato basso", 1000, "Indeterminato medio", 10000.01,"Indeterminato alto", 50000.01, "Fino a 1.000", 1000, "Fino a 5.000", 5000, "Fino a 10.000", 10000, "Fino a 25.000", 25000, "Fino a 50.000", 50000, "Fino a 150.000", 150000, "Fino a 250.000", 250000, "Fino a 500.000", 500000, "Fino a 1.500.000", 1500000, "Fino a 2.500.000", 2500000, "Fino a 5.000.000", 5000000, "Oltre 5.000.000", 5000000.01)</f>
        <v>1000</v>
      </c>
    </row>
    <row r="8" spans="1:26" s="2" customFormat="1" ht="24.75" hidden="1" customHeight="1" x14ac:dyDescent="0.25">
      <c r="A8" s="2" t="s">
        <v>5</v>
      </c>
      <c r="B8" s="6">
        <f>_xlfn.SWITCH($B$6, "Indeterminato basso", 50000.01, "Indeterminato medio", 50000.01,"Indeterminato alto", 50000.01, "Fino a 1.000", 1000, "Fino a 5.000", 5000, "Fino a 10.000", 10000, "Fino a 25.000", 25000, "Fino a 50.000", 50000, "Fino a 150.000", 150000, "Fino a 250.000", 250000, "Fino a 500.000", 500000, "Fino a 1.500.000", 1500000, "Fino a 2.500.000", 2500000, "Fino a 5.000.000", 5000000, "Oltre 5.000.000", 5000000.01)</f>
        <v>1000</v>
      </c>
    </row>
    <row r="9" spans="1:26" s="2" customFormat="1" ht="33" customHeight="1" x14ac:dyDescent="0.3">
      <c r="A9" s="44" t="s">
        <v>6</v>
      </c>
      <c r="B9" s="44"/>
      <c r="D9" s="29"/>
      <c r="E9" s="30"/>
    </row>
    <row r="10" spans="1:26" s="2" customFormat="1" ht="24.75" customHeight="1" x14ac:dyDescent="0.3">
      <c r="A10" s="2" t="s">
        <v>7</v>
      </c>
      <c r="B10" s="7">
        <v>0</v>
      </c>
      <c r="D10" s="29"/>
      <c r="E10" s="30"/>
    </row>
    <row r="11" spans="1:26" s="2" customFormat="1" ht="24.75" customHeight="1" x14ac:dyDescent="0.3">
      <c r="A11" s="2" t="s">
        <v>8</v>
      </c>
      <c r="B11" s="7">
        <v>0</v>
      </c>
      <c r="D11" s="29"/>
      <c r="E11" s="31"/>
    </row>
    <row r="12" spans="1:26" s="2" customFormat="1" ht="33" customHeight="1" x14ac:dyDescent="0.3">
      <c r="A12" s="44" t="s">
        <v>9</v>
      </c>
      <c r="B12" s="44"/>
      <c r="D12" s="32"/>
      <c r="E12" s="33"/>
    </row>
    <row r="13" spans="1:26" s="2" customFormat="1" ht="24.75" customHeight="1" x14ac:dyDescent="0.4">
      <c r="A13" s="2" t="s">
        <v>10</v>
      </c>
      <c r="B13" s="8" t="s">
        <v>61</v>
      </c>
      <c r="D13" s="34"/>
      <c r="E13" s="35"/>
    </row>
    <row r="17" spans="1:26" ht="30" customHeight="1" x14ac:dyDescent="0.25">
      <c r="A17" s="39" t="s">
        <v>11</v>
      </c>
      <c r="B17" s="3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 customHeight="1" x14ac:dyDescent="0.25">
      <c r="A18" s="41" t="s">
        <v>12</v>
      </c>
      <c r="B18" s="4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t="s">
        <v>13</v>
      </c>
      <c r="B19" s="9">
        <f>VLOOKUP($B$8,SpeseAvvio, _xlfn.IFS($B$5="Mediazione obbligatoria",5,  $B$5="Mediazione delegata dal giudice", 5, $B$5="Mediazione volontaria",4, $B$5="Mediazione contrattuale", 4))</f>
        <v>32</v>
      </c>
    </row>
    <row r="20" spans="1:26" x14ac:dyDescent="0.25">
      <c r="A20" t="s">
        <v>14</v>
      </c>
      <c r="B20" s="9">
        <f>VLOOKUP($B$7,PrimoIncontro, _xlfn.IFS($B$5="Mediazione obbligatoria",5,  $B$5="Mediazione delegata dal giudice", 5, $B$5="Mediazione volontaria",4, $B$5="Mediazione contrattuale", 4))</f>
        <v>48</v>
      </c>
    </row>
    <row r="21" spans="1:26" x14ac:dyDescent="0.25">
      <c r="A21" t="s">
        <v>15</v>
      </c>
      <c r="B21" s="9">
        <f>($B$10*10)+($B$11*15)</f>
        <v>0</v>
      </c>
    </row>
    <row r="22" spans="1:26" x14ac:dyDescent="0.25">
      <c r="A22" s="10" t="s">
        <v>16</v>
      </c>
      <c r="B22" s="11">
        <f>SUM(B19:B21)</f>
        <v>80</v>
      </c>
    </row>
    <row r="23" spans="1:26" ht="14.4" x14ac:dyDescent="0.3">
      <c r="A23" s="12" t="s">
        <v>17</v>
      </c>
      <c r="B23" s="13">
        <f>B22*22%</f>
        <v>17.600000000000001</v>
      </c>
    </row>
    <row r="24" spans="1:26" x14ac:dyDescent="0.25">
      <c r="A24" s="14" t="s">
        <v>18</v>
      </c>
      <c r="B24" s="15">
        <f>B22+B23</f>
        <v>97.6</v>
      </c>
    </row>
    <row r="26" spans="1:26" ht="21.75" customHeight="1" x14ac:dyDescent="0.25">
      <c r="A26" s="42" t="s">
        <v>19</v>
      </c>
      <c r="B26" s="42"/>
      <c r="C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idden="1" x14ac:dyDescent="0.25">
      <c r="A27" t="s">
        <v>20</v>
      </c>
      <c r="B27" s="9">
        <f>IF($B$13="Negativo in incontro successivo al primo", VLOOKUP($B$8, Negativo, _xlfn.SWITCH($B$5,"Mediazione obbligatoria",5,"Mediazione delegata dal giudice",5,"Mediazione volontaria",4,"Mediazione contrattuale",4) ),0)</f>
        <v>16</v>
      </c>
    </row>
    <row r="28" spans="1:26" hidden="1" x14ac:dyDescent="0.25">
      <c r="A28" t="s">
        <v>21</v>
      </c>
      <c r="B28" s="9">
        <f>IF($B$13="Positivo al primo incontro", VLOOKUP($B$8, PositivoPrimo, _xlfn.SWITCH($B$5,"Mediazione obbligatoria",5,"Mediazione delegata dal giudice",5,"Mediazione volontaria",4,"Mediazione contrattuale",4) ),0)</f>
        <v>0</v>
      </c>
    </row>
    <row r="29" spans="1:26" hidden="1" x14ac:dyDescent="0.25">
      <c r="A29" t="s">
        <v>22</v>
      </c>
      <c r="B29" s="9">
        <f>IF($B$13="Positivo in incontro successivo al primo", VLOOKUP($B$8, PositivoDopo, _xlfn.SWITCH($B$5,"Mediazione obbligatoria",5,"Mediazione delegata dal giudice",5,"Mediazione volontaria",4,"Mediazione contrattuale",4) ),0)</f>
        <v>0</v>
      </c>
    </row>
    <row r="30" spans="1:26" x14ac:dyDescent="0.25">
      <c r="A30" t="s">
        <v>23</v>
      </c>
      <c r="B30" s="36">
        <f>SUM(B27:B29)</f>
        <v>16</v>
      </c>
    </row>
    <row r="31" spans="1:26" x14ac:dyDescent="0.25">
      <c r="A31" s="10" t="s">
        <v>24</v>
      </c>
      <c r="B31" s="11">
        <f>SUM(B30)</f>
        <v>16</v>
      </c>
    </row>
    <row r="32" spans="1:26" ht="14.4" x14ac:dyDescent="0.3">
      <c r="A32" s="12" t="s">
        <v>25</v>
      </c>
      <c r="B32" s="13">
        <f>B31*22%</f>
        <v>3.52</v>
      </c>
    </row>
    <row r="33" spans="1:2" x14ac:dyDescent="0.25">
      <c r="A33" s="14" t="s">
        <v>26</v>
      </c>
      <c r="B33" s="15">
        <f>B31+B32</f>
        <v>19.52</v>
      </c>
    </row>
    <row r="36" spans="1:2" ht="29.25" customHeight="1" x14ac:dyDescent="0.25">
      <c r="A36" s="39" t="s">
        <v>49</v>
      </c>
      <c r="B36" s="39"/>
    </row>
    <row r="37" spans="1:2" x14ac:dyDescent="0.25">
      <c r="A37" t="s">
        <v>27</v>
      </c>
      <c r="B37" s="9">
        <f>B24</f>
        <v>97.6</v>
      </c>
    </row>
    <row r="38" spans="1:2" x14ac:dyDescent="0.25">
      <c r="A38" t="s">
        <v>28</v>
      </c>
      <c r="B38" s="9">
        <f>B33</f>
        <v>19.52</v>
      </c>
    </row>
    <row r="39" spans="1:2" x14ac:dyDescent="0.25">
      <c r="A39" s="17" t="s">
        <v>29</v>
      </c>
      <c r="B39" s="18">
        <f>SUM(B37:B38)</f>
        <v>117.11999999999999</v>
      </c>
    </row>
    <row r="42" spans="1:2" ht="32.4" customHeight="1" x14ac:dyDescent="0.25">
      <c r="A42" s="39" t="s">
        <v>51</v>
      </c>
      <c r="B42" s="39"/>
    </row>
    <row r="43" spans="1:2" x14ac:dyDescent="0.25">
      <c r="A43" t="s">
        <v>32</v>
      </c>
      <c r="B43" s="9">
        <f>B19</f>
        <v>32</v>
      </c>
    </row>
    <row r="44" spans="1:2" x14ac:dyDescent="0.25">
      <c r="A44" t="s">
        <v>50</v>
      </c>
      <c r="B44" s="9">
        <f>B20 + B31</f>
        <v>64</v>
      </c>
    </row>
    <row r="45" spans="1:2" x14ac:dyDescent="0.25">
      <c r="A45" t="s">
        <v>15</v>
      </c>
      <c r="B45" s="9">
        <f>B21</f>
        <v>0</v>
      </c>
    </row>
    <row r="46" spans="1:2" x14ac:dyDescent="0.25">
      <c r="A46" s="17" t="s">
        <v>52</v>
      </c>
      <c r="B46" s="18">
        <f>SUM(B43:B45)</f>
        <v>96</v>
      </c>
    </row>
    <row r="47" spans="1:2" ht="14.4" x14ac:dyDescent="0.3">
      <c r="A47" s="12" t="s">
        <v>48</v>
      </c>
      <c r="B47" s="13">
        <f>B46*22%</f>
        <v>21.12</v>
      </c>
    </row>
    <row r="48" spans="1:2" x14ac:dyDescent="0.25">
      <c r="A48" s="14" t="s">
        <v>53</v>
      </c>
      <c r="B48" s="15">
        <f>B46+B47</f>
        <v>117.12</v>
      </c>
    </row>
  </sheetData>
  <sheetProtection algorithmName="SHA-512" hashValue="zmYFsRzkBN0XB1hh8QCM79jKpXTlTKmBMrDxAeJ9QN/WJXinY89fHLlOMHy0Evp0LPN9yzufMD2zf0dfU2pA9Q==" saltValue="3Lgj8bBT2x0n4q8KkW2Akg==" spinCount="100000" sheet="1" objects="1" scenarios="1"/>
  <protectedRanges>
    <protectedRange sqref="B13" name="Esito"/>
    <protectedRange sqref="B5:B6" name="DatiGenerali"/>
    <protectedRange sqref="B10:B11" name="Spedizioni"/>
  </protectedRanges>
  <mergeCells count="10">
    <mergeCell ref="A1:B1"/>
    <mergeCell ref="A2:B2"/>
    <mergeCell ref="A9:B9"/>
    <mergeCell ref="A12:B12"/>
    <mergeCell ref="A17:B17"/>
    <mergeCell ref="A42:B42"/>
    <mergeCell ref="D6:E6"/>
    <mergeCell ref="A18:B18"/>
    <mergeCell ref="A26:B26"/>
    <mergeCell ref="A36:B36"/>
  </mergeCells>
  <dataValidations count="3">
    <dataValidation type="list" allowBlank="1" showErrorMessage="1" sqref="B5" xr:uid="{00000000-0002-0000-0000-000000000000}">
      <formula1>"Mediazione volontaria,Mediazione obbligatoria,Mediazione delegata dal giudice,Mediazione contrattuale"</formula1>
      <formula2>0</formula2>
    </dataValidation>
    <dataValidation type="list" allowBlank="1" showInputMessage="1" showErrorMessage="1" prompt="Fai clic e immetti un valore dall'elenco di elementi" sqref="B6" xr:uid="{00000000-0002-0000-0000-000001000000}">
      <formula1>"Indeterminato basso,Indeterminato medio,Indeterminato alto,Fino a 1.000,Fino a 5.000,Fino a 10.000,Fino a 25.000,Fino a 50.000,Fino a 150.000,Fino a 250.000,Fino a 500.000,Fino a 1.500.000,Fino a 2.500.000,Fino a 5.000.000,Oltre 5.000.000"</formula1>
      <formula2>0</formula2>
    </dataValidation>
    <dataValidation type="list" allowBlank="1" showErrorMessage="1" sqref="B13" xr:uid="{00000000-0002-0000-0000-000002000000}">
      <formula1>"Negativo al primo incontro,Negativo in incontro successivo al primo,Positivo al primo incontro,Positivo in incontro successivo al primo"</formula1>
      <formula2>0</formula2>
    </dataValidation>
  </dataValidations>
  <printOptions horizontalCentered="1" gridLines="1"/>
  <pageMargins left="0.7" right="0.7" top="1.14375" bottom="1.14375" header="0.511811023622047" footer="0.511811023622047"/>
  <pageSetup paperSize="9" pageOrder="overThenDown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0"/>
  <sheetViews>
    <sheetView zoomScaleNormal="100" workbookViewId="0">
      <selection sqref="A1:E1"/>
    </sheetView>
  </sheetViews>
  <sheetFormatPr defaultColWidth="18.19921875" defaultRowHeight="13.8" x14ac:dyDescent="0.25"/>
  <cols>
    <col min="1" max="6" width="27.69921875" customWidth="1"/>
  </cols>
  <sheetData>
    <row r="1" spans="1:27" ht="15.6" x14ac:dyDescent="0.3">
      <c r="A1" s="45" t="s">
        <v>30</v>
      </c>
      <c r="B1" s="45"/>
      <c r="C1" s="45"/>
      <c r="D1" s="45"/>
      <c r="E1" s="45"/>
      <c r="F1" s="19"/>
    </row>
    <row r="2" spans="1:27" ht="13.5" customHeight="1" x14ac:dyDescent="0.25">
      <c r="A2" s="46" t="s">
        <v>31</v>
      </c>
      <c r="B2" s="46"/>
      <c r="C2" s="46"/>
      <c r="D2" s="47" t="s">
        <v>32</v>
      </c>
      <c r="E2" s="47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8.8" x14ac:dyDescent="0.25">
      <c r="A3" s="21" t="s">
        <v>33</v>
      </c>
      <c r="B3" s="21" t="s">
        <v>34</v>
      </c>
      <c r="C3" s="21"/>
      <c r="D3" s="21" t="s">
        <v>35</v>
      </c>
      <c r="E3" s="21" t="s">
        <v>36</v>
      </c>
      <c r="F3" s="2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4" x14ac:dyDescent="0.3">
      <c r="A4" s="9">
        <v>0</v>
      </c>
      <c r="B4" s="9">
        <v>1000</v>
      </c>
      <c r="C4" s="16"/>
      <c r="D4" s="22">
        <v>40</v>
      </c>
      <c r="E4" s="22">
        <f>D4-(D4/5)</f>
        <v>32</v>
      </c>
    </row>
    <row r="5" spans="1:27" ht="14.4" x14ac:dyDescent="0.3">
      <c r="A5" s="9">
        <v>1000.01</v>
      </c>
      <c r="B5" s="9">
        <v>50000</v>
      </c>
      <c r="C5" s="16"/>
      <c r="D5" s="22">
        <v>75</v>
      </c>
      <c r="E5" s="22">
        <f>D5-(D5/5)</f>
        <v>60</v>
      </c>
    </row>
    <row r="6" spans="1:27" ht="14.4" x14ac:dyDescent="0.3">
      <c r="A6" s="9">
        <v>50000.01</v>
      </c>
      <c r="B6" s="9"/>
      <c r="C6" s="23" t="s">
        <v>37</v>
      </c>
      <c r="D6" s="22">
        <v>110</v>
      </c>
      <c r="E6" s="22">
        <f>D6-(D6/5)</f>
        <v>88</v>
      </c>
    </row>
    <row r="10" spans="1:27" ht="15.6" x14ac:dyDescent="0.3">
      <c r="A10" s="45" t="s">
        <v>38</v>
      </c>
      <c r="B10" s="45"/>
      <c r="C10" s="45"/>
      <c r="D10" s="45"/>
      <c r="E10" s="45"/>
      <c r="F10" s="19"/>
    </row>
    <row r="11" spans="1:27" ht="13.5" customHeight="1" x14ac:dyDescent="0.25">
      <c r="A11" s="46" t="s">
        <v>31</v>
      </c>
      <c r="B11" s="46"/>
      <c r="C11" s="46"/>
      <c r="D11" s="47" t="s">
        <v>14</v>
      </c>
      <c r="E11" s="47"/>
      <c r="F11" s="24"/>
    </row>
    <row r="12" spans="1:27" ht="28.8" x14ac:dyDescent="0.25">
      <c r="A12" s="25" t="s">
        <v>33</v>
      </c>
      <c r="B12" s="25" t="s">
        <v>34</v>
      </c>
      <c r="C12" s="25"/>
      <c r="D12" s="21" t="s">
        <v>35</v>
      </c>
      <c r="E12" s="21" t="s">
        <v>36</v>
      </c>
      <c r="F12" s="24"/>
    </row>
    <row r="13" spans="1:27" ht="14.4" x14ac:dyDescent="0.3">
      <c r="A13" s="9">
        <v>0</v>
      </c>
      <c r="B13" s="9">
        <v>1000</v>
      </c>
      <c r="C13" s="23" t="s">
        <v>39</v>
      </c>
      <c r="D13" s="22">
        <v>60</v>
      </c>
      <c r="E13" s="22">
        <f>D13-(D13/5)</f>
        <v>48</v>
      </c>
    </row>
    <row r="14" spans="1:27" ht="14.4" x14ac:dyDescent="0.3">
      <c r="A14" s="9">
        <v>1000.01</v>
      </c>
      <c r="B14" s="9">
        <v>50000</v>
      </c>
      <c r="C14" s="23" t="s">
        <v>40</v>
      </c>
      <c r="D14" s="22">
        <v>120</v>
      </c>
      <c r="E14" s="22">
        <f>D14-(D14/5)</f>
        <v>96</v>
      </c>
    </row>
    <row r="15" spans="1:27" ht="14.4" x14ac:dyDescent="0.3">
      <c r="A15" s="9">
        <v>50000.01</v>
      </c>
      <c r="B15" s="9"/>
      <c r="C15" s="23" t="s">
        <v>41</v>
      </c>
      <c r="D15" s="22">
        <v>170</v>
      </c>
      <c r="E15" s="22">
        <f>D15-(D15/5)</f>
        <v>136</v>
      </c>
    </row>
    <row r="19" spans="1:7" ht="15.6" x14ac:dyDescent="0.3">
      <c r="A19" s="45" t="s">
        <v>42</v>
      </c>
      <c r="B19" s="45"/>
      <c r="C19" s="45"/>
      <c r="D19" s="45"/>
      <c r="E19" s="45"/>
      <c r="F19" s="19"/>
      <c r="G19" s="19"/>
    </row>
    <row r="20" spans="1:7" ht="13.5" customHeight="1" x14ac:dyDescent="0.25">
      <c r="A20" s="46" t="s">
        <v>31</v>
      </c>
      <c r="B20" s="46"/>
      <c r="C20" s="46"/>
      <c r="D20" s="47" t="s">
        <v>23</v>
      </c>
      <c r="E20" s="47"/>
    </row>
    <row r="21" spans="1:7" ht="28.8" x14ac:dyDescent="0.25">
      <c r="A21" s="25" t="s">
        <v>33</v>
      </c>
      <c r="B21" s="25" t="s">
        <v>34</v>
      </c>
      <c r="C21" s="25"/>
      <c r="D21" s="21" t="s">
        <v>35</v>
      </c>
      <c r="E21" s="21" t="s">
        <v>36</v>
      </c>
    </row>
    <row r="22" spans="1:7" ht="14.4" x14ac:dyDescent="0.3">
      <c r="A22" s="9">
        <v>0</v>
      </c>
      <c r="B22" s="9">
        <v>1000</v>
      </c>
      <c r="C22" s="16"/>
      <c r="D22" s="22">
        <f>80-$D$13</f>
        <v>20</v>
      </c>
      <c r="E22" s="22">
        <f t="shared" ref="E22:E32" si="0">D22-((D22)/5)</f>
        <v>16</v>
      </c>
      <c r="F22" s="9"/>
      <c r="G22" s="9"/>
    </row>
    <row r="23" spans="1:7" ht="14.4" x14ac:dyDescent="0.3">
      <c r="A23" s="9">
        <v>1000.01</v>
      </c>
      <c r="B23" s="9">
        <v>5000</v>
      </c>
      <c r="C23" s="16"/>
      <c r="D23" s="22">
        <f>160-$D$14</f>
        <v>40</v>
      </c>
      <c r="E23" s="22">
        <f t="shared" si="0"/>
        <v>32</v>
      </c>
      <c r="F23" s="9"/>
      <c r="G23" s="9"/>
    </row>
    <row r="24" spans="1:7" ht="14.4" x14ac:dyDescent="0.3">
      <c r="A24" s="9">
        <v>5000.01</v>
      </c>
      <c r="B24" s="9">
        <v>10000</v>
      </c>
      <c r="C24" s="16"/>
      <c r="D24" s="22">
        <f>290-$D$14</f>
        <v>170</v>
      </c>
      <c r="E24" s="22">
        <f t="shared" si="0"/>
        <v>136</v>
      </c>
      <c r="F24" s="9"/>
      <c r="G24" s="9"/>
    </row>
    <row r="25" spans="1:7" ht="14.4" x14ac:dyDescent="0.3">
      <c r="A25" s="9">
        <v>10000.01</v>
      </c>
      <c r="B25" s="9">
        <v>25000</v>
      </c>
      <c r="C25" s="16"/>
      <c r="D25" s="22">
        <f>440-$D$14</f>
        <v>320</v>
      </c>
      <c r="E25" s="22">
        <f t="shared" si="0"/>
        <v>256</v>
      </c>
      <c r="F25" s="9"/>
      <c r="G25" s="9"/>
    </row>
    <row r="26" spans="1:7" ht="14.4" x14ac:dyDescent="0.3">
      <c r="A26" s="9">
        <v>25000.01</v>
      </c>
      <c r="B26" s="9">
        <v>50000</v>
      </c>
      <c r="C26" s="16"/>
      <c r="D26" s="22">
        <f>720-$D$14</f>
        <v>600</v>
      </c>
      <c r="E26" s="22">
        <f t="shared" si="0"/>
        <v>480</v>
      </c>
      <c r="F26" s="9"/>
      <c r="G26" s="9"/>
    </row>
    <row r="27" spans="1:7" ht="14.4" x14ac:dyDescent="0.3">
      <c r="A27" s="9">
        <v>50000.01</v>
      </c>
      <c r="B27" s="9">
        <v>150000</v>
      </c>
      <c r="C27" s="23" t="s">
        <v>37</v>
      </c>
      <c r="D27" s="22">
        <f>1200-$D$15</f>
        <v>1030</v>
      </c>
      <c r="E27" s="22">
        <f t="shared" si="0"/>
        <v>824</v>
      </c>
      <c r="F27" s="9"/>
      <c r="G27" s="9"/>
    </row>
    <row r="28" spans="1:7" ht="14.4" x14ac:dyDescent="0.3">
      <c r="A28" s="9">
        <v>150000.01</v>
      </c>
      <c r="B28" s="9">
        <v>250000</v>
      </c>
      <c r="C28" s="16"/>
      <c r="D28" s="22">
        <f>1500-$D$15</f>
        <v>1330</v>
      </c>
      <c r="E28" s="22">
        <f t="shared" si="0"/>
        <v>1064</v>
      </c>
      <c r="F28" s="9"/>
      <c r="G28" s="9"/>
    </row>
    <row r="29" spans="1:7" ht="14.4" x14ac:dyDescent="0.3">
      <c r="A29" s="9">
        <v>250000.01</v>
      </c>
      <c r="B29" s="9">
        <v>500000</v>
      </c>
      <c r="C29" s="16"/>
      <c r="D29" s="22">
        <f>2500-$D$15</f>
        <v>2330</v>
      </c>
      <c r="E29" s="22">
        <f t="shared" si="0"/>
        <v>1864</v>
      </c>
      <c r="F29" s="9"/>
      <c r="G29" s="9"/>
    </row>
    <row r="30" spans="1:7" ht="14.4" x14ac:dyDescent="0.3">
      <c r="A30" s="9">
        <v>500000.01</v>
      </c>
      <c r="B30" s="9">
        <v>1500000</v>
      </c>
      <c r="C30" s="16"/>
      <c r="D30" s="22">
        <f>3900-$D$15</f>
        <v>3730</v>
      </c>
      <c r="E30" s="22">
        <f t="shared" si="0"/>
        <v>2984</v>
      </c>
      <c r="F30" s="9"/>
      <c r="G30" s="9"/>
    </row>
    <row r="31" spans="1:7" ht="14.4" x14ac:dyDescent="0.3">
      <c r="A31" s="9">
        <v>1500000.01</v>
      </c>
      <c r="B31" s="9">
        <v>2500000</v>
      </c>
      <c r="C31" s="16"/>
      <c r="D31" s="22">
        <f>4600-$D$15</f>
        <v>4430</v>
      </c>
      <c r="E31" s="22">
        <f t="shared" si="0"/>
        <v>3544</v>
      </c>
      <c r="F31" s="9"/>
      <c r="G31" s="9"/>
    </row>
    <row r="32" spans="1:7" ht="14.4" x14ac:dyDescent="0.3">
      <c r="A32" s="9">
        <v>2500000</v>
      </c>
      <c r="B32" s="9">
        <v>5000000</v>
      </c>
      <c r="C32" s="16"/>
      <c r="D32" s="22">
        <f>6500-$D$15</f>
        <v>6330</v>
      </c>
      <c r="E32" s="22">
        <f t="shared" si="0"/>
        <v>5064</v>
      </c>
      <c r="F32" s="9"/>
      <c r="G32" s="9"/>
    </row>
    <row r="33" spans="1:8" x14ac:dyDescent="0.25">
      <c r="A33" s="9">
        <v>5000000.01</v>
      </c>
      <c r="B33" s="9"/>
      <c r="C33" s="26"/>
      <c r="D33" s="27" t="s">
        <v>43</v>
      </c>
      <c r="E33" s="27" t="s">
        <v>44</v>
      </c>
      <c r="F33" s="9"/>
      <c r="G33" s="9"/>
    </row>
    <row r="34" spans="1:8" x14ac:dyDescent="0.25">
      <c r="A34" s="9"/>
      <c r="B34" s="9"/>
      <c r="C34" s="16"/>
      <c r="D34" s="16"/>
      <c r="E34" s="16"/>
    </row>
    <row r="35" spans="1:8" x14ac:dyDescent="0.25">
      <c r="A35" s="9"/>
      <c r="B35" s="9"/>
      <c r="C35" s="16"/>
      <c r="D35" s="16"/>
      <c r="E35" s="16"/>
    </row>
    <row r="36" spans="1:8" x14ac:dyDescent="0.25">
      <c r="A36" s="9"/>
      <c r="B36" s="9"/>
      <c r="C36" s="16"/>
      <c r="D36" s="16"/>
      <c r="E36" s="16"/>
    </row>
    <row r="37" spans="1:8" ht="15.6" x14ac:dyDescent="0.3">
      <c r="A37" s="45" t="s">
        <v>45</v>
      </c>
      <c r="B37" s="45"/>
      <c r="C37" s="45"/>
      <c r="D37" s="45"/>
      <c r="E37" s="45"/>
      <c r="F37" s="19"/>
      <c r="G37" s="19"/>
    </row>
    <row r="38" spans="1:8" ht="13.5" customHeight="1" x14ac:dyDescent="0.25">
      <c r="A38" s="46" t="s">
        <v>31</v>
      </c>
      <c r="B38" s="46"/>
      <c r="C38" s="46"/>
      <c r="D38" s="47" t="s">
        <v>23</v>
      </c>
      <c r="E38" s="47"/>
      <c r="F38" s="19"/>
      <c r="G38" s="19"/>
      <c r="H38" s="24"/>
    </row>
    <row r="39" spans="1:8" ht="28.8" x14ac:dyDescent="0.25">
      <c r="A39" s="28" t="s">
        <v>33</v>
      </c>
      <c r="B39" s="28" t="s">
        <v>34</v>
      </c>
      <c r="C39" s="28"/>
      <c r="D39" s="21" t="s">
        <v>35</v>
      </c>
      <c r="E39" s="21" t="s">
        <v>36</v>
      </c>
      <c r="F39" s="19"/>
      <c r="G39" s="19"/>
      <c r="H39" s="24"/>
    </row>
    <row r="40" spans="1:8" ht="14.4" x14ac:dyDescent="0.3">
      <c r="A40" s="9">
        <v>0</v>
      </c>
      <c r="B40" s="9">
        <v>1000</v>
      </c>
      <c r="C40" s="16"/>
      <c r="D40" s="22">
        <f>80+(80*10%)-$D$13</f>
        <v>28</v>
      </c>
      <c r="E40" s="22">
        <f t="shared" ref="E40:E50" si="1">D40-((D40)/5)</f>
        <v>22.4</v>
      </c>
      <c r="F40" s="9"/>
      <c r="G40" s="9"/>
    </row>
    <row r="41" spans="1:8" ht="14.4" x14ac:dyDescent="0.3">
      <c r="A41" s="9">
        <v>1000.01</v>
      </c>
      <c r="B41" s="9">
        <v>5000</v>
      </c>
      <c r="C41" s="16"/>
      <c r="D41" s="22">
        <f>160+(160*10%)-$D$14</f>
        <v>56</v>
      </c>
      <c r="E41" s="22">
        <f t="shared" si="1"/>
        <v>44.8</v>
      </c>
      <c r="F41" s="9"/>
      <c r="G41" s="9"/>
    </row>
    <row r="42" spans="1:8" ht="14.4" x14ac:dyDescent="0.3">
      <c r="A42" s="9">
        <v>5000.01</v>
      </c>
      <c r="B42" s="9">
        <v>10000</v>
      </c>
      <c r="C42" s="16"/>
      <c r="D42" s="22">
        <f>290+(290*10%)-$D$14</f>
        <v>199</v>
      </c>
      <c r="E42" s="22">
        <f t="shared" si="1"/>
        <v>159.19999999999999</v>
      </c>
      <c r="F42" s="9"/>
      <c r="G42" s="9"/>
    </row>
    <row r="43" spans="1:8" ht="14.4" x14ac:dyDescent="0.3">
      <c r="A43" s="9">
        <v>10000.01</v>
      </c>
      <c r="B43" s="9">
        <v>25000</v>
      </c>
      <c r="C43" s="16"/>
      <c r="D43" s="22">
        <f>440+(440*10%)-$D$14</f>
        <v>364</v>
      </c>
      <c r="E43" s="22">
        <f t="shared" si="1"/>
        <v>291.2</v>
      </c>
      <c r="F43" s="9"/>
      <c r="G43" s="9"/>
    </row>
    <row r="44" spans="1:8" ht="14.4" x14ac:dyDescent="0.3">
      <c r="A44" s="9">
        <v>25000.01</v>
      </c>
      <c r="B44" s="9">
        <v>50000</v>
      </c>
      <c r="C44" s="16"/>
      <c r="D44" s="22">
        <f>720+(720*10%)-$D$14</f>
        <v>672</v>
      </c>
      <c r="E44" s="22">
        <f t="shared" si="1"/>
        <v>537.6</v>
      </c>
      <c r="F44" s="9"/>
      <c r="G44" s="9"/>
    </row>
    <row r="45" spans="1:8" ht="14.4" x14ac:dyDescent="0.3">
      <c r="A45" s="9">
        <v>50000.01</v>
      </c>
      <c r="B45" s="9">
        <v>150000</v>
      </c>
      <c r="C45" s="23" t="s">
        <v>37</v>
      </c>
      <c r="D45" s="22">
        <f>1200+(1200*10%)-$D$15</f>
        <v>1150</v>
      </c>
      <c r="E45" s="22">
        <f t="shared" si="1"/>
        <v>920</v>
      </c>
      <c r="F45" s="9"/>
      <c r="G45" s="9"/>
    </row>
    <row r="46" spans="1:8" ht="14.4" x14ac:dyDescent="0.3">
      <c r="A46" s="9">
        <v>150000.01</v>
      </c>
      <c r="B46" s="9">
        <v>250000</v>
      </c>
      <c r="C46" s="16"/>
      <c r="D46" s="22">
        <f>1500+(1500*10%)-$D$15</f>
        <v>1480</v>
      </c>
      <c r="E46" s="22">
        <f t="shared" si="1"/>
        <v>1184</v>
      </c>
      <c r="F46" s="9"/>
      <c r="G46" s="9"/>
    </row>
    <row r="47" spans="1:8" ht="14.4" x14ac:dyDescent="0.3">
      <c r="A47" s="9">
        <v>250000.01</v>
      </c>
      <c r="B47" s="9">
        <v>500000</v>
      </c>
      <c r="C47" s="16"/>
      <c r="D47" s="22">
        <f>2500+(2500*10%)-$D$15</f>
        <v>2580</v>
      </c>
      <c r="E47" s="22">
        <f t="shared" si="1"/>
        <v>2064</v>
      </c>
      <c r="F47" s="9"/>
      <c r="G47" s="9"/>
    </row>
    <row r="48" spans="1:8" ht="14.4" x14ac:dyDescent="0.3">
      <c r="A48" s="9">
        <v>500000.01</v>
      </c>
      <c r="B48" s="9">
        <v>1500000</v>
      </c>
      <c r="C48" s="16"/>
      <c r="D48" s="22">
        <f>3900+(3900*10%)-$D$15</f>
        <v>4120</v>
      </c>
      <c r="E48" s="22">
        <f t="shared" si="1"/>
        <v>3296</v>
      </c>
      <c r="F48" s="9"/>
      <c r="G48" s="9"/>
    </row>
    <row r="49" spans="1:7" ht="14.4" x14ac:dyDescent="0.3">
      <c r="A49" s="9">
        <v>1500000.01</v>
      </c>
      <c r="B49" s="9">
        <v>2500000</v>
      </c>
      <c r="C49" s="16"/>
      <c r="D49" s="22">
        <f>4600+(4600*10%)-$D$15</f>
        <v>4890</v>
      </c>
      <c r="E49" s="22">
        <f t="shared" si="1"/>
        <v>3912</v>
      </c>
      <c r="F49" s="9"/>
      <c r="G49" s="9"/>
    </row>
    <row r="50" spans="1:7" ht="14.4" x14ac:dyDescent="0.3">
      <c r="A50" s="9">
        <v>2500000</v>
      </c>
      <c r="B50" s="9">
        <v>5000000</v>
      </c>
      <c r="C50" s="16"/>
      <c r="D50" s="22">
        <f>6500+(6500*10%)-$D$15</f>
        <v>6980</v>
      </c>
      <c r="E50" s="22">
        <f t="shared" si="1"/>
        <v>5584</v>
      </c>
      <c r="F50" s="9"/>
      <c r="G50" s="9"/>
    </row>
    <row r="51" spans="1:7" x14ac:dyDescent="0.25">
      <c r="A51" s="9">
        <v>5000000.01</v>
      </c>
      <c r="B51" s="9"/>
      <c r="C51" s="26"/>
      <c r="D51" s="27" t="s">
        <v>58</v>
      </c>
      <c r="E51" s="27" t="s">
        <v>59</v>
      </c>
      <c r="F51" s="9"/>
      <c r="G51" s="9"/>
    </row>
    <row r="55" spans="1:7" ht="15.6" x14ac:dyDescent="0.3">
      <c r="A55" s="45" t="s">
        <v>46</v>
      </c>
      <c r="B55" s="45"/>
      <c r="C55" s="45"/>
      <c r="D55" s="45"/>
      <c r="E55" s="45"/>
    </row>
    <row r="56" spans="1:7" ht="13.5" customHeight="1" x14ac:dyDescent="0.25">
      <c r="A56" s="46" t="s">
        <v>31</v>
      </c>
      <c r="B56" s="46"/>
      <c r="C56" s="46"/>
      <c r="D56" s="47" t="s">
        <v>23</v>
      </c>
      <c r="E56" s="47"/>
    </row>
    <row r="57" spans="1:7" ht="28.8" x14ac:dyDescent="0.25">
      <c r="A57" s="28" t="s">
        <v>33</v>
      </c>
      <c r="B57" s="28" t="s">
        <v>34</v>
      </c>
      <c r="C57" s="28"/>
      <c r="D57" s="21" t="s">
        <v>35</v>
      </c>
      <c r="E57" s="21" t="s">
        <v>36</v>
      </c>
    </row>
    <row r="58" spans="1:7" ht="14.4" x14ac:dyDescent="0.3">
      <c r="A58" s="9">
        <v>0</v>
      </c>
      <c r="B58" s="9">
        <v>1000</v>
      </c>
      <c r="C58" s="16"/>
      <c r="D58" s="22">
        <f>80+(80*25%)-$D$13</f>
        <v>40</v>
      </c>
      <c r="E58" s="22">
        <f t="shared" ref="E58:E68" si="2">D58-((D58)/5)</f>
        <v>32</v>
      </c>
    </row>
    <row r="59" spans="1:7" ht="14.4" x14ac:dyDescent="0.3">
      <c r="A59" s="9">
        <v>1000.01</v>
      </c>
      <c r="B59" s="9">
        <v>5000</v>
      </c>
      <c r="C59" s="16"/>
      <c r="D59" s="22">
        <f>160+(160*25%)-$D$13</f>
        <v>140</v>
      </c>
      <c r="E59" s="22">
        <f t="shared" si="2"/>
        <v>112</v>
      </c>
    </row>
    <row r="60" spans="1:7" ht="14.4" x14ac:dyDescent="0.3">
      <c r="A60" s="9">
        <v>5000.01</v>
      </c>
      <c r="B60" s="9">
        <v>10000</v>
      </c>
      <c r="C60" s="16"/>
      <c r="D60" s="22">
        <f>290+(290*25%)-$D$14</f>
        <v>242.5</v>
      </c>
      <c r="E60" s="22">
        <f t="shared" si="2"/>
        <v>194</v>
      </c>
    </row>
    <row r="61" spans="1:7" ht="14.4" x14ac:dyDescent="0.3">
      <c r="A61" s="9">
        <v>10000.01</v>
      </c>
      <c r="B61" s="9">
        <v>25000</v>
      </c>
      <c r="C61" s="16"/>
      <c r="D61" s="22">
        <f>440+(440*25%)-$D$14</f>
        <v>430</v>
      </c>
      <c r="E61" s="22">
        <f t="shared" si="2"/>
        <v>344</v>
      </c>
    </row>
    <row r="62" spans="1:7" ht="14.4" x14ac:dyDescent="0.3">
      <c r="A62" s="9">
        <v>25000.01</v>
      </c>
      <c r="B62" s="9">
        <v>50000</v>
      </c>
      <c r="C62" s="16"/>
      <c r="D62" s="22">
        <f>720+(720*25%)-$D$14</f>
        <v>780</v>
      </c>
      <c r="E62" s="22">
        <f t="shared" si="2"/>
        <v>624</v>
      </c>
    </row>
    <row r="63" spans="1:7" ht="14.4" x14ac:dyDescent="0.3">
      <c r="A63" s="9">
        <v>50000.01</v>
      </c>
      <c r="B63" s="9">
        <v>150000</v>
      </c>
      <c r="C63" s="23" t="s">
        <v>37</v>
      </c>
      <c r="D63" s="22">
        <f>1200+(1200*25%)-$D$14</f>
        <v>1380</v>
      </c>
      <c r="E63" s="22">
        <f t="shared" si="2"/>
        <v>1104</v>
      </c>
    </row>
    <row r="64" spans="1:7" ht="14.4" x14ac:dyDescent="0.3">
      <c r="A64" s="9">
        <v>150000.01</v>
      </c>
      <c r="B64" s="9">
        <v>250000</v>
      </c>
      <c r="C64" s="16"/>
      <c r="D64" s="22">
        <f>1500+(1500*25%)-$D$15</f>
        <v>1705</v>
      </c>
      <c r="E64" s="22">
        <f t="shared" si="2"/>
        <v>1364</v>
      </c>
    </row>
    <row r="65" spans="1:5" ht="14.4" x14ac:dyDescent="0.3">
      <c r="A65" s="9">
        <v>250000.01</v>
      </c>
      <c r="B65" s="9">
        <v>500000</v>
      </c>
      <c r="C65" s="16"/>
      <c r="D65" s="22">
        <f>2500+(2500*25%)-$D$15</f>
        <v>2955</v>
      </c>
      <c r="E65" s="22">
        <f t="shared" si="2"/>
        <v>2364</v>
      </c>
    </row>
    <row r="66" spans="1:5" ht="14.4" x14ac:dyDescent="0.3">
      <c r="A66" s="9">
        <v>500000.01</v>
      </c>
      <c r="B66" s="9">
        <v>1500000</v>
      </c>
      <c r="C66" s="16"/>
      <c r="D66" s="22">
        <f>3900+(3900*25%)-$D$15</f>
        <v>4705</v>
      </c>
      <c r="E66" s="22">
        <f t="shared" si="2"/>
        <v>3764</v>
      </c>
    </row>
    <row r="67" spans="1:5" ht="14.4" x14ac:dyDescent="0.3">
      <c r="A67" s="9">
        <v>1500000.01</v>
      </c>
      <c r="B67" s="9">
        <v>2500000</v>
      </c>
      <c r="C67" s="16"/>
      <c r="D67" s="22">
        <f>4600+(4600*25%)-$D$15</f>
        <v>5580</v>
      </c>
      <c r="E67" s="22">
        <f t="shared" si="2"/>
        <v>4464</v>
      </c>
    </row>
    <row r="68" spans="1:5" ht="14.4" x14ac:dyDescent="0.3">
      <c r="A68" s="9">
        <v>2500000</v>
      </c>
      <c r="B68" s="9">
        <v>5000000</v>
      </c>
      <c r="C68" s="16"/>
      <c r="D68" s="22">
        <f>6500+(6500*25%)-$D$15</f>
        <v>7955</v>
      </c>
      <c r="E68" s="22">
        <f t="shared" si="2"/>
        <v>6364</v>
      </c>
    </row>
    <row r="69" spans="1:5" x14ac:dyDescent="0.25">
      <c r="A69" s="9">
        <v>5000000.01</v>
      </c>
      <c r="B69" s="9"/>
      <c r="C69" s="26"/>
      <c r="D69" s="37" t="s">
        <v>57</v>
      </c>
      <c r="E69" s="27" t="s">
        <v>60</v>
      </c>
    </row>
    <row r="70" spans="1:5" x14ac:dyDescent="0.25">
      <c r="A70" s="48" t="s">
        <v>47</v>
      </c>
      <c r="B70" s="48"/>
      <c r="C70" s="48"/>
      <c r="D70" s="48"/>
      <c r="E70" s="48"/>
    </row>
  </sheetData>
  <sheetProtection algorithmName="SHA-512" hashValue="GPMsqOt0qz1KpWgWvAPHecmHmqfI1z5Hmc09VmEaDUr2jA9x38OJ0qycEd8p5koZ1VKCPzoh2RmiWoHe05KIMA==" saltValue="6mIT+9LiGBUedssam8eNHQ==" spinCount="100000" sheet="1" selectLockedCells="1"/>
  <mergeCells count="16">
    <mergeCell ref="A55:E55"/>
    <mergeCell ref="A56:C56"/>
    <mergeCell ref="D56:E56"/>
    <mergeCell ref="A70:E70"/>
    <mergeCell ref="A19:E19"/>
    <mergeCell ref="A20:C20"/>
    <mergeCell ref="D20:E20"/>
    <mergeCell ref="A37:E37"/>
    <mergeCell ref="A38:C38"/>
    <mergeCell ref="D38:E38"/>
    <mergeCell ref="A1:E1"/>
    <mergeCell ref="A2:C2"/>
    <mergeCell ref="D2:E2"/>
    <mergeCell ref="A10:E10"/>
    <mergeCell ref="A11:C11"/>
    <mergeCell ref="D11:E11"/>
  </mergeCells>
  <pageMargins left="0.74791666666666701" right="0.74791666666666701" top="1.37777777777778" bottom="1.37777777777778" header="0.511811023622047" footer="0.511811023622047"/>
  <pageSetup paperSize="9" orientation="portrait" horizontalDpi="300" verticalDpi="300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Calcolo</vt:lpstr>
      <vt:lpstr>Tabelle</vt:lpstr>
      <vt:lpstr>Negativo</vt:lpstr>
      <vt:lpstr>PositivoDopo</vt:lpstr>
      <vt:lpstr>PositivoPrimo</vt:lpstr>
      <vt:lpstr>PrimoIncontro</vt:lpstr>
      <vt:lpstr>SpeseAvvio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Salvatore Ficili</dc:creator>
  <dc:description/>
  <cp:lastModifiedBy>Salvatore Ficili</cp:lastModifiedBy>
  <cp:revision>2</cp:revision>
  <dcterms:created xsi:type="dcterms:W3CDTF">2023-07-17T16:09:48Z</dcterms:created>
  <dcterms:modified xsi:type="dcterms:W3CDTF">2024-12-11T14:41:08Z</dcterms:modified>
  <dc:language>it-IT</dc:language>
</cp:coreProperties>
</file>